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048" activeTab="0"/>
  </bookViews>
  <sheets>
    <sheet name="СТ, СЦ, чехлы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<sst xmlns="http://schemas.openxmlformats.org/spreadsheetml/2006/main" count="36" uniqueCount="23">
  <si>
    <r>
      <t>ООО "Сталь-91"</t>
    </r>
    <r>
      <rPr>
        <b/>
        <sz val="36"/>
        <rFont val="Times New Roman"/>
        <family val="1"/>
      </rPr>
      <t xml:space="preserve"> </t>
    </r>
  </si>
  <si>
    <t>www.stal-91.ru</t>
  </si>
  <si>
    <t>т./ф:+7 (495) 486-72-32</t>
  </si>
  <si>
    <t>Многоканальный: +7 (499) 968-62-80</t>
  </si>
  <si>
    <t>Ген. Директор   Образцов Сергей</t>
  </si>
  <si>
    <t>тел.:+7-916-607-57-77</t>
  </si>
  <si>
    <t xml:space="preserve">e-mail: </t>
  </si>
  <si>
    <t>Менеджер          Тимофеев Павел</t>
  </si>
  <si>
    <t>тел.:+7-903-599-91-52</t>
  </si>
  <si>
    <t>mapasana@mail.ru</t>
  </si>
  <si>
    <t>по продажам</t>
  </si>
  <si>
    <t xml:space="preserve">Собственное производство. Скидки. Кротчайшие сроки выполнения работ. </t>
  </si>
  <si>
    <t>Длина в метрах, L</t>
  </si>
  <si>
    <t>Грузоподъемность в тоннах</t>
  </si>
  <si>
    <t>Цена</t>
  </si>
  <si>
    <t>Стропы цепные из высокопрочных комплектующих (класс Т8)</t>
  </si>
  <si>
    <t>4СЦ (четыре ветви)</t>
  </si>
  <si>
    <t>2СЦ (две ветви)</t>
  </si>
  <si>
    <t>Доп.м.</t>
  </si>
  <si>
    <t>УСЦ (кольцевой)</t>
  </si>
  <si>
    <t>1СЦ (одноветвевой)</t>
  </si>
  <si>
    <t>Бесплатная доставка  - при заказе на сумму от 25.000 руб.</t>
  </si>
  <si>
    <t>stal911@yandex.ru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</si>
</sst>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36"/>
      <name val="Times New Roman"/>
      <family val="1"/>
    </font>
    <font>
      <b/>
      <sz val="36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Calibri"/>
      <family val="2"/>
    </font>
    <font>
      <b/>
      <u val="single"/>
      <sz val="22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9"/>
      <color indexed="63"/>
      <name val="Arial"/>
      <family val="2"/>
    </font>
    <font>
      <sz val="8"/>
      <color indexed="8"/>
      <name val="Arial"/>
      <family val="2"/>
    </font>
    <font>
      <sz val="11"/>
      <name val="Verdana"/>
      <family val="2"/>
    </font>
    <font>
      <b/>
      <sz val="18"/>
      <color indexed="8"/>
      <name val="Arial"/>
      <family val="2"/>
    </font>
    <font>
      <sz val="10"/>
      <name val="Times New Roman"/>
      <family val="1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42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0" xfId="42" applyNumberForma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top" wrapText="1"/>
    </xf>
    <xf numFmtId="1" fontId="38" fillId="0" borderId="13" xfId="0" applyNumberFormat="1" applyFont="1" applyBorder="1" applyAlignment="1">
      <alignment horizontal="center" vertical="center"/>
    </xf>
    <xf numFmtId="1" fontId="38" fillId="0" borderId="14" xfId="0" applyNumberFormat="1" applyFont="1" applyBorder="1" applyAlignment="1">
      <alignment horizontal="center" vertical="center"/>
    </xf>
    <xf numFmtId="1" fontId="38" fillId="0" borderId="17" xfId="0" applyNumberFormat="1" applyFont="1" applyBorder="1" applyAlignment="1">
      <alignment horizontal="center" vertical="center"/>
    </xf>
    <xf numFmtId="1" fontId="38" fillId="0" borderId="18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1" fontId="38" fillId="0" borderId="21" xfId="0" applyNumberFormat="1" applyFont="1" applyBorder="1" applyAlignment="1">
      <alignment horizontal="center" vertical="center"/>
    </xf>
    <xf numFmtId="1" fontId="38" fillId="0" borderId="22" xfId="0" applyNumberFormat="1" applyFont="1" applyBorder="1" applyAlignment="1">
      <alignment horizontal="center" vertical="center"/>
    </xf>
    <xf numFmtId="1" fontId="38" fillId="0" borderId="23" xfId="0" applyNumberFormat="1" applyFont="1" applyBorder="1" applyAlignment="1">
      <alignment horizontal="center" vertical="center"/>
    </xf>
    <xf numFmtId="1" fontId="38" fillId="0" borderId="15" xfId="0" applyNumberFormat="1" applyFont="1" applyBorder="1" applyAlignment="1">
      <alignment horizontal="center" vertical="center"/>
    </xf>
    <xf numFmtId="1" fontId="38" fillId="0" borderId="16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1</xdr:col>
      <xdr:colOff>466725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09575"/>
          <a:ext cx="12382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3</xdr:row>
      <xdr:rowOff>219075</xdr:rowOff>
    </xdr:from>
    <xdr:to>
      <xdr:col>1</xdr:col>
      <xdr:colOff>457200</xdr:colOff>
      <xdr:row>5</xdr:row>
      <xdr:rowOff>285750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14475"/>
          <a:ext cx="12096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76200</xdr:colOff>
      <xdr:row>14</xdr:row>
      <xdr:rowOff>104775</xdr:rowOff>
    </xdr:from>
    <xdr:to>
      <xdr:col>8</xdr:col>
      <xdr:colOff>542925</xdr:colOff>
      <xdr:row>19</xdr:row>
      <xdr:rowOff>257175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4924425"/>
          <a:ext cx="1152525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142875</xdr:colOff>
      <xdr:row>13</xdr:row>
      <xdr:rowOff>247650</xdr:rowOff>
    </xdr:from>
    <xdr:to>
      <xdr:col>17</xdr:col>
      <xdr:colOff>533400</xdr:colOff>
      <xdr:row>20</xdr:row>
      <xdr:rowOff>47625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58625" y="4800600"/>
          <a:ext cx="1076325" cy="1676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66675</xdr:colOff>
      <xdr:row>26</xdr:row>
      <xdr:rowOff>161925</xdr:rowOff>
    </xdr:from>
    <xdr:to>
      <xdr:col>8</xdr:col>
      <xdr:colOff>409575</xdr:colOff>
      <xdr:row>35</xdr:row>
      <xdr:rowOff>85725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48300" y="8420100"/>
          <a:ext cx="1028700" cy="2295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19050</xdr:colOff>
      <xdr:row>26</xdr:row>
      <xdr:rowOff>209550</xdr:rowOff>
    </xdr:from>
    <xdr:to>
      <xdr:col>18</xdr:col>
      <xdr:colOff>190500</xdr:colOff>
      <xdr:row>34</xdr:row>
      <xdr:rowOff>238125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420600" y="8467725"/>
          <a:ext cx="828675" cy="2133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l-91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PageLayoutView="0" workbookViewId="0" topLeftCell="J13">
      <selection activeCell="M22" sqref="M22"/>
    </sheetView>
  </sheetViews>
  <sheetFormatPr defaultColWidth="9.140625" defaultRowHeight="15"/>
  <cols>
    <col min="1" max="1" width="13.28125" style="0" customWidth="1"/>
    <col min="2" max="2" width="9.8515625" style="0" customWidth="1"/>
    <col min="3" max="3" width="11.00390625" style="0" customWidth="1"/>
    <col min="4" max="4" width="13.421875" style="0" customWidth="1"/>
    <col min="5" max="6" width="11.140625" style="0" customWidth="1"/>
    <col min="7" max="7" width="10.8515625" style="0" customWidth="1"/>
    <col min="8" max="8" width="10.28125" style="0" customWidth="1"/>
    <col min="9" max="9" width="9.8515625" style="0" customWidth="1"/>
    <col min="10" max="10" width="13.28125" style="0" customWidth="1"/>
    <col min="11" max="11" width="9.7109375" style="0" customWidth="1"/>
    <col min="12" max="12" width="12.57421875" style="0" customWidth="1"/>
    <col min="13" max="13" width="9.7109375" style="0" customWidth="1"/>
    <col min="14" max="14" width="9.57421875" style="0" customWidth="1"/>
    <col min="15" max="15" width="10.140625" style="0" customWidth="1"/>
    <col min="16" max="16" width="9.8515625" style="0" customWidth="1"/>
    <col min="17" max="17" width="10.28125" style="0" customWidth="1"/>
    <col min="18" max="19" width="9.8515625" style="0" customWidth="1"/>
    <col min="20" max="20" width="8.140625" style="0" customWidth="1"/>
    <col min="21" max="21" width="8.28125" style="0" customWidth="1"/>
    <col min="22" max="24" width="8.140625" style="0" customWidth="1"/>
    <col min="25" max="26" width="9.8515625" style="0" customWidth="1"/>
  </cols>
  <sheetData>
    <row r="1" spans="18:22" ht="27" customHeight="1">
      <c r="R1" s="1"/>
      <c r="S1" s="1"/>
      <c r="T1" s="1"/>
      <c r="U1" s="1"/>
      <c r="V1" s="1"/>
    </row>
    <row r="2" spans="3:28" ht="54" customHeight="1">
      <c r="C2" s="39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2"/>
      <c r="S2" s="3"/>
      <c r="T2" s="2"/>
      <c r="U2" s="3"/>
      <c r="W2" s="3"/>
      <c r="X2" s="3"/>
      <c r="Y2" s="3"/>
      <c r="Z2" s="2"/>
      <c r="AA2" s="3"/>
      <c r="AB2" s="3"/>
    </row>
    <row r="3" spans="3:28" ht="21" customHeight="1">
      <c r="C3" s="4"/>
      <c r="D3" s="4"/>
      <c r="R3" s="2"/>
      <c r="S3" s="3"/>
      <c r="T3" s="2"/>
      <c r="U3" s="3"/>
      <c r="W3" s="3"/>
      <c r="X3" s="3"/>
      <c r="Y3" s="3"/>
      <c r="Z3" s="2"/>
      <c r="AA3" s="3"/>
      <c r="AB3" s="3"/>
    </row>
    <row r="4" spans="3:28" ht="27" customHeight="1">
      <c r="C4" s="5" t="s">
        <v>1</v>
      </c>
      <c r="D4" s="4"/>
      <c r="E4" s="6"/>
      <c r="G4" s="6"/>
      <c r="H4" s="7" t="s">
        <v>2</v>
      </c>
      <c r="I4" s="7"/>
      <c r="J4" s="7"/>
      <c r="K4" s="7"/>
      <c r="L4" s="7" t="s">
        <v>3</v>
      </c>
      <c r="M4" s="7"/>
      <c r="N4" s="7"/>
      <c r="O4" s="7"/>
      <c r="P4" s="6"/>
      <c r="R4" s="2"/>
      <c r="S4" s="3"/>
      <c r="T4" s="2"/>
      <c r="U4" s="3"/>
      <c r="W4" s="3"/>
      <c r="X4" s="3"/>
      <c r="Y4" s="3"/>
      <c r="Z4" s="2"/>
      <c r="AA4" s="3"/>
      <c r="AB4" s="3"/>
    </row>
    <row r="5" spans="3:28" ht="27" customHeight="1">
      <c r="C5" s="8" t="s">
        <v>4</v>
      </c>
      <c r="D5" s="8"/>
      <c r="E5" s="8"/>
      <c r="F5" s="9"/>
      <c r="H5" s="7" t="s">
        <v>5</v>
      </c>
      <c r="I5" s="7"/>
      <c r="J5" s="7"/>
      <c r="K5" s="10"/>
      <c r="L5" s="7" t="s">
        <v>6</v>
      </c>
      <c r="M5" s="20" t="s">
        <v>22</v>
      </c>
      <c r="N5" s="1"/>
      <c r="O5" s="1"/>
      <c r="P5" s="1"/>
      <c r="R5" s="2"/>
      <c r="S5" s="3"/>
      <c r="T5" s="2"/>
      <c r="U5" s="3"/>
      <c r="W5" s="3"/>
      <c r="X5" s="3"/>
      <c r="Y5" s="3"/>
      <c r="Z5" s="2"/>
      <c r="AA5" s="3"/>
      <c r="AB5" s="3"/>
    </row>
    <row r="6" spans="3:28" ht="27" customHeight="1">
      <c r="C6" s="8" t="s">
        <v>7</v>
      </c>
      <c r="D6" s="8"/>
      <c r="E6" s="8"/>
      <c r="F6" s="9"/>
      <c r="H6" s="7" t="s">
        <v>8</v>
      </c>
      <c r="I6" s="7"/>
      <c r="J6" s="7"/>
      <c r="K6" s="10"/>
      <c r="L6" s="7" t="s">
        <v>6</v>
      </c>
      <c r="M6" s="7" t="s">
        <v>9</v>
      </c>
      <c r="N6" s="7"/>
      <c r="O6" s="7"/>
      <c r="P6" s="6"/>
      <c r="R6" s="2"/>
      <c r="S6" s="3"/>
      <c r="T6" s="2"/>
      <c r="U6" s="3"/>
      <c r="W6" s="3"/>
      <c r="X6" s="3"/>
      <c r="Y6" s="3"/>
      <c r="Z6" s="2"/>
      <c r="AA6" s="3"/>
      <c r="AB6" s="3"/>
    </row>
    <row r="7" spans="3:28" ht="24.75" customHeight="1">
      <c r="C7" s="8" t="s">
        <v>10</v>
      </c>
      <c r="D7" s="8"/>
      <c r="E7" s="8"/>
      <c r="F7" s="8"/>
      <c r="G7" s="6"/>
      <c r="H7" s="6"/>
      <c r="I7" s="6"/>
      <c r="J7" s="6"/>
      <c r="K7" s="6"/>
      <c r="L7" s="6"/>
      <c r="M7" s="6"/>
      <c r="N7" s="6"/>
      <c r="O7" s="6"/>
      <c r="P7" s="6"/>
      <c r="R7" s="2"/>
      <c r="S7" s="3"/>
      <c r="T7" s="2"/>
      <c r="U7" s="3"/>
      <c r="W7" s="3"/>
      <c r="X7" s="3"/>
      <c r="Y7" s="3"/>
      <c r="Z7" s="2"/>
      <c r="AA7" s="3"/>
      <c r="AB7" s="3"/>
    </row>
    <row r="8" spans="1:28" ht="33.75" customHeight="1">
      <c r="A8" s="40" t="s">
        <v>11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3"/>
      <c r="S8" s="3"/>
      <c r="T8" s="2"/>
      <c r="U8" s="3"/>
      <c r="W8" s="3"/>
      <c r="X8" s="3"/>
      <c r="Y8" s="3"/>
      <c r="Z8" s="11"/>
      <c r="AA8" s="3"/>
      <c r="AB8" s="3"/>
    </row>
    <row r="9" spans="2:28" ht="30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"/>
      <c r="O9" s="2"/>
      <c r="P9" s="2"/>
      <c r="Q9" s="2"/>
      <c r="R9" s="3"/>
      <c r="S9" s="3"/>
      <c r="T9" s="2"/>
      <c r="U9" s="2"/>
      <c r="V9" s="3"/>
      <c r="W9" s="3"/>
      <c r="X9" s="3"/>
      <c r="Y9" s="3"/>
      <c r="Z9" s="11"/>
      <c r="AA9" s="3"/>
      <c r="AB9" s="3"/>
    </row>
    <row r="10" spans="1:18" ht="23.25" customHeight="1">
      <c r="A10" s="41" t="s">
        <v>15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0:16" ht="21" customHeight="1" thickBot="1">
      <c r="J11" s="12"/>
      <c r="K11" s="12"/>
      <c r="L11" s="15"/>
      <c r="M11" s="12"/>
      <c r="O11" s="14"/>
      <c r="P11" s="16"/>
    </row>
    <row r="12" spans="1:16" ht="21" customHeight="1" thickBot="1">
      <c r="A12" s="42" t="s">
        <v>12</v>
      </c>
      <c r="B12" s="44" t="s">
        <v>16</v>
      </c>
      <c r="C12" s="44"/>
      <c r="D12" s="44"/>
      <c r="E12" s="44"/>
      <c r="F12" s="44"/>
      <c r="G12" s="45"/>
      <c r="J12" s="38" t="s">
        <v>12</v>
      </c>
      <c r="K12" s="38" t="s">
        <v>17</v>
      </c>
      <c r="L12" s="38"/>
      <c r="M12" s="38"/>
      <c r="N12" s="38"/>
      <c r="O12" s="38"/>
      <c r="P12" s="38"/>
    </row>
    <row r="13" spans="1:16" ht="21.75" customHeight="1" thickBot="1">
      <c r="A13" s="43"/>
      <c r="B13" s="46" t="s">
        <v>13</v>
      </c>
      <c r="C13" s="46"/>
      <c r="D13" s="46"/>
      <c r="E13" s="46"/>
      <c r="F13" s="46"/>
      <c r="G13" s="47"/>
      <c r="J13" s="38"/>
      <c r="K13" s="38" t="s">
        <v>13</v>
      </c>
      <c r="L13" s="38"/>
      <c r="M13" s="38"/>
      <c r="N13" s="38"/>
      <c r="O13" s="38"/>
      <c r="P13" s="38"/>
    </row>
    <row r="14" spans="1:16" ht="21" thickBot="1">
      <c r="A14" s="43"/>
      <c r="B14" s="21">
        <v>2.36</v>
      </c>
      <c r="C14" s="21">
        <v>3.15</v>
      </c>
      <c r="D14" s="21">
        <v>4.25</v>
      </c>
      <c r="E14" s="21">
        <v>6.7</v>
      </c>
      <c r="F14" s="21">
        <v>11.2</v>
      </c>
      <c r="G14" s="22">
        <v>17</v>
      </c>
      <c r="J14" s="38"/>
      <c r="K14" s="18">
        <v>1.6</v>
      </c>
      <c r="L14" s="18">
        <v>2.12</v>
      </c>
      <c r="M14" s="18">
        <v>2.8</v>
      </c>
      <c r="N14" s="18">
        <v>4.25</v>
      </c>
      <c r="O14" s="18">
        <v>7.5</v>
      </c>
      <c r="P14" s="17">
        <v>11.2</v>
      </c>
    </row>
    <row r="15" spans="1:16" ht="21.75" customHeight="1" thickBot="1">
      <c r="A15" s="43"/>
      <c r="B15" s="46" t="s">
        <v>14</v>
      </c>
      <c r="C15" s="46"/>
      <c r="D15" s="46"/>
      <c r="E15" s="46"/>
      <c r="F15" s="46"/>
      <c r="G15" s="47"/>
      <c r="J15" s="38"/>
      <c r="K15" s="36" t="s">
        <v>14</v>
      </c>
      <c r="L15" s="36"/>
      <c r="M15" s="36"/>
      <c r="N15" s="36"/>
      <c r="O15" s="36"/>
      <c r="P15" s="36"/>
    </row>
    <row r="16" spans="1:16" ht="21" thickBot="1">
      <c r="A16" s="23">
        <v>1</v>
      </c>
      <c r="B16" s="25">
        <f>((4389*(1+0.1)))*1.2</f>
        <v>5793.4800000000005</v>
      </c>
      <c r="C16" s="25">
        <f>((5720*(1+0.1)))*1.2</f>
        <v>7550.400000000001</v>
      </c>
      <c r="D16" s="25">
        <f>((5907*(1+0.1)))*1.2</f>
        <v>7797.240000000001</v>
      </c>
      <c r="E16" s="25">
        <f>((7623*(1+0.1)))*1.2</f>
        <v>10062.36</v>
      </c>
      <c r="F16" s="25">
        <f>((11407*(1+0.1)))*1.2</f>
        <v>15057.24</v>
      </c>
      <c r="G16" s="26">
        <f>((19052*(1+0.1)))*1.2</f>
        <v>25148.64</v>
      </c>
      <c r="J16" s="29">
        <v>1</v>
      </c>
      <c r="K16" s="31">
        <f>((2167*(1+0.1)))*1.2</f>
        <v>2860.44</v>
      </c>
      <c r="L16" s="32">
        <f>((2662*(1+0.1)))*1.2</f>
        <v>3513.84</v>
      </c>
      <c r="M16" s="32">
        <f>((2827*(1+0.1)))*1.2</f>
        <v>3731.6400000000003</v>
      </c>
      <c r="N16" s="32">
        <f>((3751*(1+0.1)))*1.2</f>
        <v>4951.320000000001</v>
      </c>
      <c r="O16" s="32">
        <f>((5588*(1+0.1)))*1.2</f>
        <v>7376.16</v>
      </c>
      <c r="P16" s="33">
        <f>((9581*(1+0.1)))*1.2</f>
        <v>12646.92</v>
      </c>
    </row>
    <row r="17" spans="1:16" ht="21" thickBot="1">
      <c r="A17" s="23">
        <v>2</v>
      </c>
      <c r="B17" s="25">
        <f>((5357*(1+0.1)))*1.2</f>
        <v>7071.240000000001</v>
      </c>
      <c r="C17" s="25">
        <f>((6798*(1+0.1)))*1.2</f>
        <v>8973.36</v>
      </c>
      <c r="D17" s="25">
        <f>((7327*(1+0.1)))*1.2</f>
        <v>9671.640000000001</v>
      </c>
      <c r="E17" s="25">
        <f>((9527*(1+0.1)))*1.2</f>
        <v>12575.640000000001</v>
      </c>
      <c r="F17" s="25">
        <f>((14069*(1+0.1)))*1.2</f>
        <v>18571.08</v>
      </c>
      <c r="G17" s="26">
        <f>((22858*(1+0.1)))*1.2</f>
        <v>30172.56</v>
      </c>
      <c r="J17" s="30">
        <v>2</v>
      </c>
      <c r="K17" s="34">
        <f>((2651*(1+0.1)))*1.2</f>
        <v>3499.32</v>
      </c>
      <c r="L17" s="25">
        <f>((3180*(1+0.1)))*1.2</f>
        <v>4197.6</v>
      </c>
      <c r="M17" s="25">
        <f>((3543*(1+0.1)))*1.2</f>
        <v>4676.76</v>
      </c>
      <c r="N17" s="25">
        <f>((4653*(1+0.1)))*1.2</f>
        <v>6141.96</v>
      </c>
      <c r="O17" s="25">
        <f>((6886*(1+0.1)))*1.2</f>
        <v>9089.52</v>
      </c>
      <c r="P17" s="26">
        <f>((11485*(1+0.1)))*1.2</f>
        <v>15160.2</v>
      </c>
    </row>
    <row r="18" spans="1:16" ht="21" thickBot="1">
      <c r="A18" s="23">
        <v>3</v>
      </c>
      <c r="B18" s="25">
        <f>((6325*(1+0.1)))*1.2</f>
        <v>8349</v>
      </c>
      <c r="C18" s="25">
        <f>((7876*(1+0.1)))*1.2</f>
        <v>10396.32</v>
      </c>
      <c r="D18" s="25">
        <f>((8747*(1+0.1)))*1.2</f>
        <v>11546.04</v>
      </c>
      <c r="E18" s="25">
        <f>((11431*(1+0.1)))*1.2</f>
        <v>15088.92</v>
      </c>
      <c r="F18" s="25">
        <f>((16731*(1+0.1)))*1.2</f>
        <v>22084.920000000002</v>
      </c>
      <c r="G18" s="26">
        <f>((26664*(1+0.1)))*1.2</f>
        <v>35196.48</v>
      </c>
      <c r="J18" s="30">
        <v>3</v>
      </c>
      <c r="K18" s="34">
        <f>((3135*(1+0.1)))*1.2</f>
        <v>4138.200000000001</v>
      </c>
      <c r="L18" s="25">
        <f>((3698*(1+0.1)))*1.2</f>
        <v>4881.36</v>
      </c>
      <c r="M18" s="25">
        <f>((4259*(1+0.1)))*1.2</f>
        <v>5621.88</v>
      </c>
      <c r="N18" s="25">
        <f>((5555*(1+0.1)))*1.2</f>
        <v>7332.600000000001</v>
      </c>
      <c r="O18" s="25">
        <f>((8184*(1+0.1)))*1.2</f>
        <v>10802.880000000001</v>
      </c>
      <c r="P18" s="26">
        <f>((13389*(1+0.1)))*1.2</f>
        <v>17673.48</v>
      </c>
    </row>
    <row r="19" spans="1:16" ht="21" thickBot="1">
      <c r="A19" s="23">
        <v>4</v>
      </c>
      <c r="B19" s="25">
        <f>((7293*(1+0.1)))*1.2</f>
        <v>9626.76</v>
      </c>
      <c r="C19" s="25">
        <f>((8954*(1+0.1)))*1.2</f>
        <v>11819.28</v>
      </c>
      <c r="D19" s="25">
        <f>((10167*(1+0.1)))*1.2</f>
        <v>13420.44</v>
      </c>
      <c r="E19" s="25">
        <f>((13335*(1+0.1)))*1.2</f>
        <v>17602.2</v>
      </c>
      <c r="F19" s="25">
        <f>((19393*(1+0.1)))*1.2</f>
        <v>25598.760000000002</v>
      </c>
      <c r="G19" s="26">
        <f>((30470*(1+0.1)))*1.2</f>
        <v>40220.4</v>
      </c>
      <c r="J19" s="30">
        <v>4</v>
      </c>
      <c r="K19" s="34">
        <f>((3619*(1+0.1)))*1.2</f>
        <v>4777.080000000001</v>
      </c>
      <c r="L19" s="25">
        <f>((4216*(1+0.1)))*1.2</f>
        <v>5565.12</v>
      </c>
      <c r="M19" s="25">
        <f>((4975*(1+0.1)))*1.2</f>
        <v>6567</v>
      </c>
      <c r="N19" s="25">
        <f>((6457*(1+0.1)))*1.2</f>
        <v>8523.24</v>
      </c>
      <c r="O19" s="25">
        <f>((9482*(1+0.1)))*1.2</f>
        <v>12516.24</v>
      </c>
      <c r="P19" s="26">
        <f>((15293*(1+0.1)))*1.2</f>
        <v>20186.760000000002</v>
      </c>
    </row>
    <row r="20" spans="1:16" ht="21" thickBot="1">
      <c r="A20" s="23">
        <v>5</v>
      </c>
      <c r="B20" s="25">
        <f>((8261*(1+0.1)))*1.2</f>
        <v>10904.52</v>
      </c>
      <c r="C20" s="25">
        <f>((10032*(1+0.1)))*1.2</f>
        <v>13242.24</v>
      </c>
      <c r="D20" s="25">
        <f>((11587*(1+0.1)))*1.2</f>
        <v>15294.84</v>
      </c>
      <c r="E20" s="25">
        <f>((15239*(1+0.1)))*1.2</f>
        <v>20115.48</v>
      </c>
      <c r="F20" s="25">
        <f>((22055*(1+0.1)))*1.2</f>
        <v>29112.600000000002</v>
      </c>
      <c r="G20" s="26">
        <f>((34276*(1+0.1)))*1.2</f>
        <v>45244.32000000001</v>
      </c>
      <c r="J20" s="30">
        <v>5</v>
      </c>
      <c r="K20" s="34">
        <f>((4103*(1+0.1)))*1.2</f>
        <v>5415.96</v>
      </c>
      <c r="L20" s="25">
        <f>((4734*(1+0.1)))*1.2</f>
        <v>6248.88</v>
      </c>
      <c r="M20" s="25">
        <f>((5691*(1+0.1)))*1.2</f>
        <v>7512.12</v>
      </c>
      <c r="N20" s="25">
        <f>((7359*(1+0.1)))*1.2</f>
        <v>9713.880000000001</v>
      </c>
      <c r="O20" s="25">
        <f>((10780*(1+0.1)))*1.2</f>
        <v>14229.600000000002</v>
      </c>
      <c r="P20" s="26">
        <f>((17197*(1+0.1)))*1.2</f>
        <v>22700.04</v>
      </c>
    </row>
    <row r="21" spans="1:16" ht="21" thickBot="1">
      <c r="A21" s="23">
        <v>6</v>
      </c>
      <c r="B21" s="25">
        <f>((9229*(1+0.1)))*1.2</f>
        <v>12182.28</v>
      </c>
      <c r="C21" s="25">
        <f>((11110*(1+0.1)))*1.2</f>
        <v>14665.200000000003</v>
      </c>
      <c r="D21" s="25">
        <f>((13007*(1+0.1)))*1.2</f>
        <v>17169.24</v>
      </c>
      <c r="E21" s="25">
        <f>((17143*(1+0.1)))*1.2</f>
        <v>22628.760000000002</v>
      </c>
      <c r="F21" s="25">
        <f>((24717*(1+0.1)))*1.2</f>
        <v>32626.44</v>
      </c>
      <c r="G21" s="26">
        <f>((38082*(1+0.1)))*1.2</f>
        <v>50268.240000000005</v>
      </c>
      <c r="J21" s="30">
        <v>6</v>
      </c>
      <c r="K21" s="34">
        <f>((4587*(1+0.1)))*1.2</f>
        <v>6054.840000000001</v>
      </c>
      <c r="L21" s="25">
        <f>((5252*(1+0.1)))*1.2</f>
        <v>6932.64</v>
      </c>
      <c r="M21" s="25">
        <f>((6407*(1+0.1)))*1.2</f>
        <v>8457.24</v>
      </c>
      <c r="N21" s="25">
        <f>((8261*(1+0.1)))*1.2</f>
        <v>10904.52</v>
      </c>
      <c r="O21" s="25">
        <f>((12078*(1+0.1)))*1.2</f>
        <v>15942.960000000001</v>
      </c>
      <c r="P21" s="26">
        <f>((19101*(1+0.1)))*1.2</f>
        <v>25213.320000000003</v>
      </c>
    </row>
    <row r="22" spans="1:16" ht="21" thickBot="1">
      <c r="A22" s="23">
        <v>7</v>
      </c>
      <c r="B22" s="25">
        <f>((10197*(1+0.1)))*1.2</f>
        <v>13460.04</v>
      </c>
      <c r="C22" s="25">
        <f>((12188*(1+0.1)))*1.2</f>
        <v>16088.16</v>
      </c>
      <c r="D22" s="25">
        <f>((14427*(1+0.1)))*1.2</f>
        <v>19043.64</v>
      </c>
      <c r="E22" s="25">
        <f>((19047*(1+0.1)))*1.2</f>
        <v>25142.04</v>
      </c>
      <c r="F22" s="25">
        <f>((27379*(1+0.1)))*1.2</f>
        <v>36140.28</v>
      </c>
      <c r="G22" s="26">
        <f>((41888*(1+0.1)))*1.2</f>
        <v>55292.16</v>
      </c>
      <c r="H22">
        <v>1.2</v>
      </c>
      <c r="J22" s="30">
        <v>7</v>
      </c>
      <c r="K22" s="34">
        <f>((5071*(1+0.1)))*1.2</f>
        <v>6693.72</v>
      </c>
      <c r="L22" s="25">
        <f>((5770*(1+0.1)))*1.2</f>
        <v>7616.400000000001</v>
      </c>
      <c r="M22" s="25">
        <f>((7123*(1+0.1)))*1.2</f>
        <v>9402.36</v>
      </c>
      <c r="N22" s="25">
        <f>((9163*(1+0.1)))*1.2</f>
        <v>12095.160000000002</v>
      </c>
      <c r="O22" s="25">
        <f>((13376*(1+0.1)))*1.2</f>
        <v>17656.32</v>
      </c>
      <c r="P22" s="26">
        <f>((21005*(1+0.1)))*1.2</f>
        <v>27726.600000000002</v>
      </c>
    </row>
    <row r="23" spans="1:16" ht="21" thickBot="1">
      <c r="A23" s="23">
        <v>8</v>
      </c>
      <c r="B23" s="25">
        <f>((11165*(1+0.1)))*1.2</f>
        <v>14737.800000000001</v>
      </c>
      <c r="C23" s="25">
        <f>((13266*(1+0.1)))*1.2</f>
        <v>17511.12</v>
      </c>
      <c r="D23" s="25">
        <f>((15847*(1+0.1)))*1.2</f>
        <v>20918.04</v>
      </c>
      <c r="E23" s="25">
        <f>((20951*(1+0.1)))*1.2</f>
        <v>27655.320000000003</v>
      </c>
      <c r="F23" s="25">
        <f>((30041*(1+0.1)))*1.2</f>
        <v>39654.12</v>
      </c>
      <c r="G23" s="26">
        <f>((45694*(1+0.1)))*1.2</f>
        <v>60316.08</v>
      </c>
      <c r="J23" s="30">
        <v>8</v>
      </c>
      <c r="K23" s="34">
        <f>((5555*(1+0.1)))*1.2</f>
        <v>7332.600000000001</v>
      </c>
      <c r="L23" s="25">
        <f>((6288*(1+0.1)))*1.2</f>
        <v>8300.16</v>
      </c>
      <c r="M23" s="25">
        <f>((7839*(1+0.1)))*1.2</f>
        <v>10347.480000000001</v>
      </c>
      <c r="N23" s="25">
        <f>((10065*(1+0.1)))*1.2</f>
        <v>13285.8</v>
      </c>
      <c r="O23" s="25">
        <f>((14674*(1+0.1)))*1.2</f>
        <v>19369.68</v>
      </c>
      <c r="P23" s="26">
        <f>((22909*(1+0.1)))*1.2</f>
        <v>30239.88</v>
      </c>
    </row>
    <row r="24" spans="1:16" ht="21" thickBot="1">
      <c r="A24" s="24" t="s">
        <v>18</v>
      </c>
      <c r="B24" s="27">
        <f>((968*(1+0.1)))*1.2</f>
        <v>1277.7600000000002</v>
      </c>
      <c r="C24" s="27">
        <f>((1078*(1+0.1)))*1.2</f>
        <v>1422.9600000000003</v>
      </c>
      <c r="D24" s="27">
        <f>((1420*(1+0.1)))*1.2</f>
        <v>1874.4</v>
      </c>
      <c r="E24" s="27">
        <f>((1904*(1+0.1)))*1.2</f>
        <v>2513.28</v>
      </c>
      <c r="F24" s="27">
        <f>((2662*(1+0.1)))*1.2</f>
        <v>3513.84</v>
      </c>
      <c r="G24" s="28">
        <f>((3806*(1+0.1)))*1.2</f>
        <v>5023.92</v>
      </c>
      <c r="J24" s="30" t="s">
        <v>18</v>
      </c>
      <c r="K24" s="35">
        <f>((484*(1+0.1)))*1.2</f>
        <v>638.8800000000001</v>
      </c>
      <c r="L24" s="27">
        <f>((518*(1+0.1)))*1.2</f>
        <v>683.7600000000001</v>
      </c>
      <c r="M24" s="27">
        <f>((716*(1+0.1)))*1.2</f>
        <v>945.12</v>
      </c>
      <c r="N24" s="27">
        <f>((902*(1+0.1)))*1.2</f>
        <v>1190.64</v>
      </c>
      <c r="O24" s="27">
        <f>((1298*(1+0.1)))*1.2</f>
        <v>1713.3600000000001</v>
      </c>
      <c r="P24" s="28">
        <f>((1904*(1+0.1)))*1.2</f>
        <v>2513.28</v>
      </c>
    </row>
    <row r="25" ht="39" customHeight="1" thickBot="1">
      <c r="A25" s="19"/>
    </row>
    <row r="26" spans="1:17" ht="21" customHeight="1">
      <c r="A26" s="36" t="s">
        <v>12</v>
      </c>
      <c r="B26" s="36" t="s">
        <v>19</v>
      </c>
      <c r="C26" s="36"/>
      <c r="D26" s="36"/>
      <c r="E26" s="36"/>
      <c r="F26" s="36"/>
      <c r="G26" s="36"/>
      <c r="J26" s="36" t="s">
        <v>12</v>
      </c>
      <c r="K26" s="36" t="s">
        <v>20</v>
      </c>
      <c r="L26" s="36"/>
      <c r="M26" s="36"/>
      <c r="N26" s="36"/>
      <c r="O26" s="36"/>
      <c r="P26" s="36"/>
      <c r="Q26" s="36"/>
    </row>
    <row r="27" spans="1:17" ht="24" customHeight="1">
      <c r="A27" s="36"/>
      <c r="B27" s="38" t="s">
        <v>13</v>
      </c>
      <c r="C27" s="38"/>
      <c r="D27" s="38"/>
      <c r="E27" s="38"/>
      <c r="F27" s="38"/>
      <c r="G27" s="38"/>
      <c r="J27" s="36"/>
      <c r="K27" s="38" t="s">
        <v>13</v>
      </c>
      <c r="L27" s="38"/>
      <c r="M27" s="38"/>
      <c r="N27" s="38"/>
      <c r="O27" s="38"/>
      <c r="P27" s="38"/>
      <c r="Q27" s="38"/>
    </row>
    <row r="28" spans="1:17" ht="21" thickBot="1">
      <c r="A28" s="36"/>
      <c r="B28" s="18">
        <v>2.2</v>
      </c>
      <c r="C28" s="18">
        <v>3</v>
      </c>
      <c r="D28" s="18">
        <v>4</v>
      </c>
      <c r="E28" s="18">
        <v>6.3</v>
      </c>
      <c r="F28" s="18">
        <v>10.5</v>
      </c>
      <c r="G28" s="13">
        <v>16</v>
      </c>
      <c r="J28" s="36"/>
      <c r="K28" s="18">
        <v>1.12</v>
      </c>
      <c r="L28" s="18">
        <v>1.5</v>
      </c>
      <c r="M28" s="18">
        <v>2</v>
      </c>
      <c r="N28" s="18">
        <v>3.15</v>
      </c>
      <c r="O28" s="18">
        <v>5.3</v>
      </c>
      <c r="P28" s="18">
        <v>8</v>
      </c>
      <c r="Q28" s="13">
        <v>12.5</v>
      </c>
    </row>
    <row r="29" spans="1:17" ht="15.75" customHeight="1" thickBot="1">
      <c r="A29" s="36"/>
      <c r="B29" s="36" t="s">
        <v>14</v>
      </c>
      <c r="C29" s="36"/>
      <c r="D29" s="36"/>
      <c r="E29" s="36"/>
      <c r="F29" s="36"/>
      <c r="G29" s="36"/>
      <c r="J29" s="36"/>
      <c r="K29" s="36" t="s">
        <v>14</v>
      </c>
      <c r="L29" s="36"/>
      <c r="M29" s="36"/>
      <c r="N29" s="36"/>
      <c r="O29" s="36"/>
      <c r="P29" s="36"/>
      <c r="Q29" s="36"/>
    </row>
    <row r="30" spans="1:17" ht="21" thickBot="1">
      <c r="A30" s="29">
        <v>1</v>
      </c>
      <c r="B30" s="31">
        <f>((704*(1+0.1)))*1.2</f>
        <v>929.2800000000001</v>
      </c>
      <c r="C30" s="32">
        <f>((825*(1+0.1)))*1.2</f>
        <v>1089</v>
      </c>
      <c r="D30" s="32">
        <f>((1012*(1+0.1)))*1.2</f>
        <v>1335.84</v>
      </c>
      <c r="E30" s="32">
        <f>((1331*(1+0.1)))*1.2</f>
        <v>1756.92</v>
      </c>
      <c r="F30" s="32">
        <f>((1903*(1+0.1)))*1.2</f>
        <v>2511.96</v>
      </c>
      <c r="G30" s="33">
        <f>((3113*(1+0.1)))*1.2</f>
        <v>4109.16</v>
      </c>
      <c r="J30" s="29">
        <v>1</v>
      </c>
      <c r="K30" s="31">
        <f>((1232*(1+0.1)))*1.2</f>
        <v>1626.24</v>
      </c>
      <c r="L30" s="32">
        <f>((1397*(1+0.1)))*1.2</f>
        <v>1844.04</v>
      </c>
      <c r="M30" s="32">
        <f>((1507*(1+0.1)))*1.2</f>
        <v>1989.24</v>
      </c>
      <c r="N30" s="32">
        <f>((2068*(1+0.1)))*1.2</f>
        <v>2729.76</v>
      </c>
      <c r="O30" s="32">
        <f>((2926*(1+0.1)))*1.2</f>
        <v>3862.32</v>
      </c>
      <c r="P30" s="32">
        <f>((4895*(1+0.1)))*1.2</f>
        <v>6461.4</v>
      </c>
      <c r="Q30" s="33">
        <f>((7876*(1+0.1)))*1.2</f>
        <v>10396.32</v>
      </c>
    </row>
    <row r="31" spans="1:17" ht="21" thickBot="1">
      <c r="A31" s="30">
        <v>2</v>
      </c>
      <c r="B31" s="34">
        <f>((1188*(1+0.1)))*1.2</f>
        <v>1568.16</v>
      </c>
      <c r="C31" s="25">
        <f>((1343*(1+0.1)))*1.2</f>
        <v>1772.7600000000002</v>
      </c>
      <c r="D31" s="25">
        <f>((1728*(1+0.1)))*1.2</f>
        <v>2280.96</v>
      </c>
      <c r="E31" s="25">
        <f>((2233*(1+0.1)))*1.2</f>
        <v>2947.56</v>
      </c>
      <c r="F31" s="25">
        <f>((3201*(1+0.1)))*1.2</f>
        <v>4225.320000000001</v>
      </c>
      <c r="G31" s="26">
        <f>((5017*(1+0.1)))*1.2</f>
        <v>6622.4400000000005</v>
      </c>
      <c r="J31" s="30">
        <v>2</v>
      </c>
      <c r="K31" s="34">
        <f>((1474*(1+0.1)))*1.2</f>
        <v>1945.68</v>
      </c>
      <c r="L31" s="25">
        <f>((1661*(1+0.1)))*1.2</f>
        <v>2192.52</v>
      </c>
      <c r="M31" s="25">
        <f>((1827*(1+0.1)))*1.2</f>
        <v>2411.6400000000003</v>
      </c>
      <c r="N31" s="25">
        <f>((2508*(1+0.1)))*1.2</f>
        <v>3310.56</v>
      </c>
      <c r="O31" s="25">
        <f>((3576*(1+0.1)))*1.2</f>
        <v>4720.320000000001</v>
      </c>
      <c r="P31" s="25">
        <f>((5853*(1+0.1)))*1.2</f>
        <v>7725.96</v>
      </c>
      <c r="Q31" s="26">
        <f>((9780*(1+0.1)))*1.2</f>
        <v>12909.6</v>
      </c>
    </row>
    <row r="32" spans="1:17" ht="21" thickBot="1">
      <c r="A32" s="30">
        <v>3</v>
      </c>
      <c r="B32" s="34">
        <f>((1672*(1+0.1)))*1.2</f>
        <v>2207.04</v>
      </c>
      <c r="C32" s="25">
        <f>((1861*(1+0.1)))*1.2</f>
        <v>2456.52</v>
      </c>
      <c r="D32" s="25">
        <f>((2444*(1+0.1)))*1.2</f>
        <v>3226.08</v>
      </c>
      <c r="E32" s="25">
        <f>((3135*(1+0.1)))*1.2</f>
        <v>4138.200000000001</v>
      </c>
      <c r="F32" s="25">
        <f>((4499*(1+0.1)))*1.2</f>
        <v>5938.68</v>
      </c>
      <c r="G32" s="26">
        <f>((6921*(1+0.1)))*1.2</f>
        <v>9135.72</v>
      </c>
      <c r="J32" s="30">
        <v>3</v>
      </c>
      <c r="K32" s="34">
        <f>((1716*(1+0.1)))*1.2</f>
        <v>2265.12</v>
      </c>
      <c r="L32" s="25">
        <f>((1925*(1+0.1)))*1.2</f>
        <v>2541</v>
      </c>
      <c r="M32" s="25">
        <f>((2147*(1+0.1)))*1.2</f>
        <v>2834.0400000000004</v>
      </c>
      <c r="N32" s="25">
        <f>((2948*(1+0.1)))*1.2</f>
        <v>3891.36</v>
      </c>
      <c r="O32" s="25">
        <f>((4226*(1+0.1)))*1.2</f>
        <v>5578.320000000001</v>
      </c>
      <c r="P32" s="25">
        <f>((6811*(1+0.1)))*1.2</f>
        <v>8990.52</v>
      </c>
      <c r="Q32" s="26">
        <f>((11684*(1+0.1)))*1.2</f>
        <v>15422.880000000001</v>
      </c>
    </row>
    <row r="33" spans="1:17" ht="21" thickBot="1">
      <c r="A33" s="30">
        <v>4</v>
      </c>
      <c r="B33" s="34">
        <f>((2156*(1+0.1)))*1.2</f>
        <v>2845.9200000000005</v>
      </c>
      <c r="C33" s="25">
        <f>((2379*(1+0.1)))*1.2</f>
        <v>3140.28</v>
      </c>
      <c r="D33" s="25">
        <f>((3160*(1+0.1)))*1.2</f>
        <v>4171.200000000001</v>
      </c>
      <c r="E33" s="25">
        <f>((4037*(1+0.1)))*1.2</f>
        <v>5328.840000000001</v>
      </c>
      <c r="F33" s="25">
        <f>((5797*(1+0.1)))*1.2</f>
        <v>7652.040000000001</v>
      </c>
      <c r="G33" s="26">
        <f>((8825*(1+0.1)))*1.2</f>
        <v>11649</v>
      </c>
      <c r="J33" s="30">
        <v>4</v>
      </c>
      <c r="K33" s="34">
        <f>((1958*(1+0.1)))*1.2</f>
        <v>2584.56</v>
      </c>
      <c r="L33" s="25">
        <f>((2189*(1+0.1)))*1.2</f>
        <v>2889.48</v>
      </c>
      <c r="M33" s="25">
        <f>((2467*(1+0.1)))*1.2</f>
        <v>3256.44</v>
      </c>
      <c r="N33" s="25">
        <f>((3388*(1+0.1)))*1.2</f>
        <v>4472.16</v>
      </c>
      <c r="O33" s="25">
        <f>((4876*(1+0.1)))*1.2</f>
        <v>6436.320000000001</v>
      </c>
      <c r="P33" s="25">
        <f>((7769*(1+0.1)))*1.2</f>
        <v>10255.080000000002</v>
      </c>
      <c r="Q33" s="26">
        <f>((13588*(1+0.1)))*1.2</f>
        <v>17936.16</v>
      </c>
    </row>
    <row r="34" spans="1:17" ht="21" thickBot="1">
      <c r="A34" s="30">
        <v>5</v>
      </c>
      <c r="B34" s="34">
        <f>((2640*(1+0.1)))*1.2</f>
        <v>3484.8000000000006</v>
      </c>
      <c r="C34" s="25">
        <f>((2897*(1+0.1)))*1.2</f>
        <v>3824.04</v>
      </c>
      <c r="D34" s="25">
        <f>((3876*(1+0.1)))*1.2</f>
        <v>5116.320000000001</v>
      </c>
      <c r="E34" s="25">
        <f>((4939*(1+0.1)))*1.2</f>
        <v>6519.4800000000005</v>
      </c>
      <c r="F34" s="25">
        <f>((7095*(1+0.1)))*1.2</f>
        <v>9365.400000000001</v>
      </c>
      <c r="G34" s="26">
        <f>((10729*(1+0.1)))*1.2</f>
        <v>14162.28</v>
      </c>
      <c r="J34" s="30">
        <v>5</v>
      </c>
      <c r="K34" s="34">
        <f>((2200*(1+0.1)))*1.2</f>
        <v>2904</v>
      </c>
      <c r="L34" s="25">
        <f>((2453*(1+0.1)))*1.2</f>
        <v>3237.96</v>
      </c>
      <c r="M34" s="25">
        <f>((2787*(1+0.1)))*1.2</f>
        <v>3678.84</v>
      </c>
      <c r="N34" s="25">
        <f>((3828*(1+0.1)))*1.2</f>
        <v>5052.96</v>
      </c>
      <c r="O34" s="25">
        <f>((5526*(1+0.1)))*1.2</f>
        <v>7294.320000000001</v>
      </c>
      <c r="P34" s="25">
        <f>((8727*(1+0.1)))*1.2</f>
        <v>11519.640000000001</v>
      </c>
      <c r="Q34" s="26">
        <f>((15492*(1+0.1)))*1.2</f>
        <v>20449.44</v>
      </c>
    </row>
    <row r="35" spans="1:17" ht="21" thickBot="1">
      <c r="A35" s="30">
        <v>6</v>
      </c>
      <c r="B35" s="34">
        <f>((3124*(1+0.1)))*1.2</f>
        <v>4123.68</v>
      </c>
      <c r="C35" s="25">
        <f>((3415*(1+0.1)))*1.2</f>
        <v>4507.8</v>
      </c>
      <c r="D35" s="25">
        <f>((4592*(1+0.1)))*1.2</f>
        <v>6061.4400000000005</v>
      </c>
      <c r="E35" s="25">
        <f>((5841*(1+0.1)))*1.2</f>
        <v>7710.12</v>
      </c>
      <c r="F35" s="25">
        <f>((8393*(1+0.1)))*1.2</f>
        <v>11078.76</v>
      </c>
      <c r="G35" s="26">
        <f>((12633*(1+0.1)))*1.2</f>
        <v>16675.56</v>
      </c>
      <c r="J35" s="30">
        <v>6</v>
      </c>
      <c r="K35" s="34">
        <f>((2442*(1+0.1)))*1.2</f>
        <v>3223.44</v>
      </c>
      <c r="L35" s="25">
        <f>((2717*(1+0.1)))*1.2</f>
        <v>3586.44</v>
      </c>
      <c r="M35" s="25">
        <f>((3107*(1+0.1)))*1.2</f>
        <v>4101.24</v>
      </c>
      <c r="N35" s="25">
        <f>((4268*(1+0.1)))*1.2</f>
        <v>5633.76</v>
      </c>
      <c r="O35" s="25">
        <f>((6176*(1+0.1)))*1.2</f>
        <v>8152.32</v>
      </c>
      <c r="P35" s="25">
        <f>((9685*(1+0.1)))*1.2</f>
        <v>12784.199999999999</v>
      </c>
      <c r="Q35" s="26">
        <f>((17396*(1+0.1)))*1.2</f>
        <v>22962.72</v>
      </c>
    </row>
    <row r="36" spans="1:17" ht="21" thickBot="1">
      <c r="A36" s="30">
        <v>7</v>
      </c>
      <c r="B36" s="34">
        <f>((3608*(1+0.1)))*1.2</f>
        <v>4762.56</v>
      </c>
      <c r="C36" s="25">
        <f>((3933*(1+0.1)))*1.2</f>
        <v>5191.56</v>
      </c>
      <c r="D36" s="25">
        <f>((5308*(1+0.1)))*1.2</f>
        <v>7006.56</v>
      </c>
      <c r="E36" s="25">
        <f>((6743*(1+0.1)))*1.2</f>
        <v>8900.76</v>
      </c>
      <c r="F36" s="25">
        <f>((9691*(1+0.1)))*1.2</f>
        <v>12792.12</v>
      </c>
      <c r="G36" s="26">
        <f>((14537*(1+0.1)))*1.2</f>
        <v>19188.84</v>
      </c>
      <c r="J36" s="30">
        <v>7</v>
      </c>
      <c r="K36" s="34">
        <f>((2684*(1+0.1)))*1.2</f>
        <v>3542.88</v>
      </c>
      <c r="L36" s="25">
        <f>((2981*(1+0.1)))*1.2</f>
        <v>3934.92</v>
      </c>
      <c r="M36" s="25">
        <f>((3427*(1+0.1)))*1.2</f>
        <v>4523.64</v>
      </c>
      <c r="N36" s="25">
        <f>((4708*(1+0.1)))*1.2</f>
        <v>6214.56</v>
      </c>
      <c r="O36" s="25">
        <f>((6826*(1+0.1)))*1.2</f>
        <v>9010.32</v>
      </c>
      <c r="P36" s="25">
        <f>((10643*(1+0.1)))*1.2</f>
        <v>14048.76</v>
      </c>
      <c r="Q36" s="26">
        <f>((19300*(1+0.1)))*1.2</f>
        <v>25476</v>
      </c>
    </row>
    <row r="37" spans="1:17" ht="21" thickBot="1">
      <c r="A37" s="30">
        <v>8</v>
      </c>
      <c r="B37" s="34">
        <f>((4092*(1+0.1)))*1.2</f>
        <v>5401.4400000000005</v>
      </c>
      <c r="C37" s="25">
        <f>((4451*(1+0.1)))*1.2</f>
        <v>5875.320000000001</v>
      </c>
      <c r="D37" s="25">
        <f>((6024*(1+0.1)))*1.2</f>
        <v>7951.68</v>
      </c>
      <c r="E37" s="25">
        <f>((7645*(1+0.1)))*1.2</f>
        <v>10091.4</v>
      </c>
      <c r="F37" s="25">
        <f>((10989*(1+0.1)))*1.2</f>
        <v>14505.480000000001</v>
      </c>
      <c r="G37" s="26">
        <f>((16441*(1+0.1)))*1.2</f>
        <v>21702.120000000003</v>
      </c>
      <c r="J37" s="30">
        <v>8</v>
      </c>
      <c r="K37" s="34">
        <f>((2926*(1+0.1)))*1.2</f>
        <v>3862.32</v>
      </c>
      <c r="L37" s="25">
        <f>((3245*(1+0.1)))*1.2</f>
        <v>4283.400000000001</v>
      </c>
      <c r="M37" s="25">
        <f>((3747*(1+0.1)))*1.2</f>
        <v>4946.040000000001</v>
      </c>
      <c r="N37" s="25">
        <f>((5148*(1+0.1)))*1.2</f>
        <v>6795.36</v>
      </c>
      <c r="O37" s="25">
        <f>((7476*(1+0.1)))*1.2</f>
        <v>9868.32</v>
      </c>
      <c r="P37" s="25">
        <f>((11601*(1+0.1)))*1.2</f>
        <v>15313.32</v>
      </c>
      <c r="Q37" s="26">
        <f>((21204*(1+0.1)))*1.2</f>
        <v>27989.280000000002</v>
      </c>
    </row>
    <row r="38" spans="1:17" ht="21" thickBot="1">
      <c r="A38" s="30" t="s">
        <v>18</v>
      </c>
      <c r="B38" s="35">
        <f>((484*(1+0.1)))*1.2</f>
        <v>638.8800000000001</v>
      </c>
      <c r="C38" s="27">
        <f>((518*(1+0.1)))*1.2</f>
        <v>683.7600000000001</v>
      </c>
      <c r="D38" s="27">
        <f>((716*(1+0.1)))*1.2</f>
        <v>945.12</v>
      </c>
      <c r="E38" s="27">
        <f>((902*(1+0.1)))*1.2</f>
        <v>1190.64</v>
      </c>
      <c r="F38" s="27">
        <f>((1298*(1+0.1)))*1.2</f>
        <v>1713.3600000000001</v>
      </c>
      <c r="G38" s="28">
        <f>((1904*(1+0.1)))*1.2</f>
        <v>2513.28</v>
      </c>
      <c r="J38" s="30" t="s">
        <v>18</v>
      </c>
      <c r="K38" s="35">
        <f>((242*(1+0.1)))*1.2</f>
        <v>319.44000000000005</v>
      </c>
      <c r="L38" s="27">
        <f>((264*(1+0.1)))*1.2</f>
        <v>348.48</v>
      </c>
      <c r="M38" s="27">
        <f>((320*(1+0.1)))*1.2</f>
        <v>422.4</v>
      </c>
      <c r="N38" s="27">
        <f>((440*(1+0.1)))*1.2</f>
        <v>580.8000000000001</v>
      </c>
      <c r="O38" s="27">
        <f>((650*(1+0.1)))*1.2</f>
        <v>858.0000000000001</v>
      </c>
      <c r="P38" s="27">
        <f>((958*(1+0.1)))*1.2</f>
        <v>1264.5600000000002</v>
      </c>
      <c r="Q38" s="28">
        <f>((1904*(1+0.1)))*1.2</f>
        <v>2513.28</v>
      </c>
    </row>
    <row r="41" spans="1:17" ht="38.25" customHeight="1">
      <c r="A41" s="37" t="s">
        <v>21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</sheetData>
  <sheetProtection selectLockedCells="1" selectUnlockedCells="1"/>
  <mergeCells count="20">
    <mergeCell ref="C2:Q2"/>
    <mergeCell ref="A8:Q8"/>
    <mergeCell ref="A10:R10"/>
    <mergeCell ref="A12:A15"/>
    <mergeCell ref="B12:G12"/>
    <mergeCell ref="J12:J15"/>
    <mergeCell ref="K12:P12"/>
    <mergeCell ref="B13:G13"/>
    <mergeCell ref="K13:P13"/>
    <mergeCell ref="B15:G15"/>
    <mergeCell ref="K15:P15"/>
    <mergeCell ref="A41:Q41"/>
    <mergeCell ref="A26:A29"/>
    <mergeCell ref="B26:G26"/>
    <mergeCell ref="J26:J29"/>
    <mergeCell ref="K26:Q26"/>
    <mergeCell ref="B27:G27"/>
    <mergeCell ref="K27:Q27"/>
    <mergeCell ref="B29:G29"/>
    <mergeCell ref="K29:Q29"/>
  </mergeCells>
  <hyperlinks>
    <hyperlink ref="C4" r:id="rId1" display="www.stal-91.ru"/>
  </hyperlinks>
  <printOptions/>
  <pageMargins left="0.1701388888888889" right="0.1701388888888889" top="0.2361111111111111" bottom="0.11805555555555555" header="0.5118055555555555" footer="0.5118055555555555"/>
  <pageSetup horizontalDpi="300" verticalDpi="300" orientation="portrait" paperSize="9" scale="4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Юрий</cp:lastModifiedBy>
  <dcterms:modified xsi:type="dcterms:W3CDTF">2021-09-07T09:08:24Z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